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yush\projects\nnl-export\"/>
    </mc:Choice>
  </mc:AlternateContent>
  <xr:revisionPtr revIDLastSave="0" documentId="13_ncr:1_{8BF95A8F-A4F5-4C5D-B12F-E66B47A55139}" xr6:coauthVersionLast="47" xr6:coauthVersionMax="47" xr10:uidLastSave="{00000000-0000-0000-0000-000000000000}"/>
  <bookViews>
    <workbookView xWindow="1900" yWindow="1900" windowWidth="19200" windowHeight="11170" xr2:uid="{00000000-000D-0000-FFFF-FFFF00000000}"/>
  </bookViews>
  <sheets>
    <sheet name="Assumptions" sheetId="1" r:id="rId1"/>
    <sheet name="CAPEX" sheetId="2" r:id="rId2"/>
    <sheet name="Unit Economics" sheetId="3" r:id="rId3"/>
    <sheet name="P&amp;L Projection" sheetId="4" r:id="rId4"/>
    <sheet name="Retur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4" l="1"/>
  <c r="D9" i="4"/>
  <c r="C9" i="4"/>
  <c r="B9" i="4"/>
  <c r="F8" i="4"/>
  <c r="E8" i="4"/>
  <c r="D8" i="4"/>
  <c r="C8" i="4"/>
  <c r="B8" i="4"/>
  <c r="F7" i="4"/>
  <c r="E7" i="4"/>
  <c r="D7" i="4"/>
  <c r="B10" i="3"/>
  <c r="B13" i="3" s="1"/>
  <c r="C7" i="3"/>
  <c r="B7" i="3"/>
  <c r="C6" i="3"/>
  <c r="D6" i="3" s="1"/>
  <c r="E6" i="3" s="1"/>
  <c r="B6" i="3"/>
  <c r="C5" i="3"/>
  <c r="B5" i="3"/>
  <c r="D5" i="3" s="1"/>
  <c r="C4" i="3"/>
  <c r="B4" i="3"/>
  <c r="B25" i="2"/>
  <c r="B15" i="2"/>
  <c r="B25" i="4" s="1"/>
  <c r="F19" i="1"/>
  <c r="E19" i="1"/>
  <c r="D19" i="1"/>
  <c r="C19" i="1"/>
  <c r="B19" i="1"/>
  <c r="B7" i="1"/>
  <c r="B10" i="4" s="1"/>
  <c r="F11" i="4" l="1"/>
  <c r="B6" i="5" s="1"/>
  <c r="D10" i="4"/>
  <c r="B16" i="4"/>
  <c r="C16" i="4"/>
  <c r="D16" i="4"/>
  <c r="D17" i="4"/>
  <c r="D11" i="4"/>
  <c r="F9" i="4"/>
  <c r="F10" i="4"/>
  <c r="B17" i="2"/>
  <c r="B31" i="2" s="1"/>
  <c r="B5" i="5" s="1"/>
  <c r="E16" i="4"/>
  <c r="B30" i="2"/>
  <c r="B26" i="4" s="1"/>
  <c r="B17" i="4"/>
  <c r="E17" i="4"/>
  <c r="F17" i="4"/>
  <c r="C10" i="4"/>
  <c r="E10" i="4"/>
  <c r="E11" i="4" s="1"/>
  <c r="E24" i="4" s="1"/>
  <c r="F15" i="4"/>
  <c r="F25" i="4"/>
  <c r="F16" i="4"/>
  <c r="C17" i="4"/>
  <c r="C25" i="4"/>
  <c r="D24" i="4"/>
  <c r="B40" i="4"/>
  <c r="D25" i="4"/>
  <c r="C26" i="4"/>
  <c r="C40" i="4" s="1"/>
  <c r="E26" i="4"/>
  <c r="E5" i="3"/>
  <c r="D7" i="3"/>
  <c r="E7" i="3" s="1"/>
  <c r="F14" i="4"/>
  <c r="E4" i="4"/>
  <c r="B15" i="4"/>
  <c r="E25" i="4"/>
  <c r="D4" i="3"/>
  <c r="E4" i="3" s="1"/>
  <c r="B11" i="3"/>
  <c r="C14" i="4"/>
  <c r="B4" i="4"/>
  <c r="D14" i="4"/>
  <c r="C4" i="4"/>
  <c r="D4" i="4"/>
  <c r="F4" i="4"/>
  <c r="C15" i="4"/>
  <c r="B38" i="4"/>
  <c r="C38" i="4"/>
  <c r="D38" i="4"/>
  <c r="F38" i="4"/>
  <c r="B12" i="3"/>
  <c r="B14" i="4"/>
  <c r="E14" i="4"/>
  <c r="B7" i="4"/>
  <c r="B11" i="4" s="1"/>
  <c r="D15" i="4"/>
  <c r="C7" i="4"/>
  <c r="C11" i="4" s="1"/>
  <c r="E15" i="4"/>
  <c r="B4" i="5"/>
  <c r="F24" i="4" l="1"/>
  <c r="D26" i="4"/>
  <c r="D40" i="4" s="1"/>
  <c r="B27" i="2"/>
  <c r="F18" i="4"/>
  <c r="F20" i="4" s="1"/>
  <c r="F26" i="4"/>
  <c r="F40" i="4" s="1"/>
  <c r="E38" i="4"/>
  <c r="F27" i="4"/>
  <c r="F21" i="4"/>
  <c r="B3" i="5"/>
  <c r="E40" i="4"/>
  <c r="C24" i="4"/>
  <c r="B24" i="4"/>
  <c r="E18" i="4"/>
  <c r="E20" i="4" s="1"/>
  <c r="B18" i="4"/>
  <c r="B20" i="4" s="1"/>
  <c r="D18" i="4"/>
  <c r="D20" i="4" s="1"/>
  <c r="C18" i="4"/>
  <c r="C20" i="4" s="1"/>
  <c r="C27" i="4" l="1"/>
  <c r="C21" i="4"/>
  <c r="B27" i="4"/>
  <c r="B21" i="4"/>
  <c r="E27" i="4"/>
  <c r="E21" i="4"/>
  <c r="D27" i="4"/>
  <c r="D21" i="4"/>
  <c r="F28" i="4"/>
  <c r="F33" i="4"/>
  <c r="B7" i="5" l="1"/>
  <c r="B9" i="5"/>
  <c r="F29" i="4"/>
  <c r="F30" i="4" s="1"/>
  <c r="D33" i="4"/>
  <c r="D28" i="4"/>
  <c r="E28" i="4"/>
  <c r="E33" i="4"/>
  <c r="B33" i="4"/>
  <c r="B28" i="4"/>
  <c r="C28" i="4"/>
  <c r="C33" i="4"/>
  <c r="F34" i="4" l="1"/>
  <c r="B8" i="5"/>
  <c r="F39" i="4"/>
  <c r="F41" i="4" s="1"/>
  <c r="F31" i="4"/>
  <c r="E29" i="4"/>
  <c r="E30" i="4"/>
  <c r="C29" i="4"/>
  <c r="C30" i="4" s="1"/>
  <c r="D29" i="4"/>
  <c r="D30" i="4" s="1"/>
  <c r="B29" i="4"/>
  <c r="B30" i="4" s="1"/>
  <c r="D34" i="4" l="1"/>
  <c r="D39" i="4"/>
  <c r="D41" i="4" s="1"/>
  <c r="D31" i="4"/>
  <c r="B10" i="5"/>
  <c r="B34" i="4"/>
  <c r="B35" i="4" s="1"/>
  <c r="B39" i="4"/>
  <c r="B41" i="4" s="1"/>
  <c r="B11" i="5"/>
  <c r="B31" i="4"/>
  <c r="C34" i="4"/>
  <c r="C39" i="4"/>
  <c r="C41" i="4" s="1"/>
  <c r="C31" i="4"/>
  <c r="E34" i="4"/>
  <c r="E39" i="4"/>
  <c r="E41" i="4" s="1"/>
  <c r="E31" i="4"/>
  <c r="B14" i="5" l="1"/>
  <c r="B13" i="5"/>
  <c r="C35" i="4"/>
  <c r="D35" i="4" s="1"/>
  <c r="E35" i="4" s="1"/>
  <c r="F35" i="4" s="1"/>
  <c r="B12" i="5"/>
</calcChain>
</file>

<file path=xl/sharedStrings.xml><?xml version="1.0" encoding="utf-8"?>
<sst xmlns="http://schemas.openxmlformats.org/spreadsheetml/2006/main" count="156" uniqueCount="127">
  <si>
    <t>NNL Bricks — Financial Model | Assumptions (edit blue cells)</t>
  </si>
  <si>
    <t>Macro &amp; Operating</t>
  </si>
  <si>
    <t>INR per USD</t>
  </si>
  <si>
    <t>Working days / year</t>
  </si>
  <si>
    <t>Installed capacity (brick bodies / day)</t>
  </si>
  <si>
    <t>Annual capacity (bodies)</t>
  </si>
  <si>
    <t>Slips cut per brick body</t>
  </si>
  <si>
    <t>Slips per m² of cladding</t>
  </si>
  <si>
    <t>Capacity Utilisation by Year</t>
  </si>
  <si>
    <t>Y1</t>
  </si>
  <si>
    <t>Y2</t>
  </si>
  <si>
    <t>Y3</t>
  </si>
  <si>
    <t>Y4</t>
  </si>
  <si>
    <t>Y5</t>
  </si>
  <si>
    <t>Utilisation %</t>
  </si>
  <si>
    <t>Product Mix (% of brick bodies)</t>
  </si>
  <si>
    <t>Common / red brick</t>
  </si>
  <si>
    <t>Wire-cut facing brick</t>
  </si>
  <si>
    <t>Coloured facing brick</t>
  </si>
  <si>
    <t>Brick slips (export)</t>
  </si>
  <si>
    <t>Check (should = 100%)</t>
  </si>
  <si>
    <t>Pricing &amp; Fully-loaded Cost (₹ per piece)</t>
  </si>
  <si>
    <t>Sell ₹</t>
  </si>
  <si>
    <t>Cost ₹</t>
  </si>
  <si>
    <t>Brick slip (per slip, FOB)</t>
  </si>
  <si>
    <t>Financing &amp; Other</t>
  </si>
  <si>
    <t>Term-loan interest rate</t>
  </si>
  <si>
    <t>Loan tenure (years)</t>
  </si>
  <si>
    <t>Term loan (% of Phase-1 fixed capital)</t>
  </si>
  <si>
    <t>Income-tax rate</t>
  </si>
  <si>
    <t>Depreciation rate (SLM on fixed capital)</t>
  </si>
  <si>
    <t>SG&amp;A as % of revenue</t>
  </si>
  <si>
    <t>Fixed SG&amp;A (₹ Lakh / year)</t>
  </si>
  <si>
    <t>Blue = input you can change.  Black = formula.  Green (other sheets) = link.</t>
  </si>
  <si>
    <t>CAPEX &amp; Project Cost (₹ Lakh)</t>
  </si>
  <si>
    <t>Phase 1 — Modest export-grade line (~100k bodies/day)</t>
  </si>
  <si>
    <t>Item</t>
  </si>
  <si>
    <t>₹ Lakh</t>
  </si>
  <si>
    <t>Source / supplier</t>
  </si>
  <si>
    <t>Clay preparation line (feeder, crusher, roller mill, mixer)</t>
  </si>
  <si>
    <t>China — Brictec / Yingfeng</t>
  </si>
  <si>
    <t>Vacuum de-airing extruder + dies</t>
  </si>
  <si>
    <t>Turkish/Chinese (premium option higher)</t>
  </si>
  <si>
    <t>Automatic wire cutter</t>
  </si>
  <si>
    <t>China</t>
  </si>
  <si>
    <t>Tunnel dryer</t>
  </si>
  <si>
    <t>Gas-fired tunnel kiln + cars</t>
  </si>
  <si>
    <t>China — Yingfeng (triple-ISO)</t>
  </si>
  <si>
    <t>Handling, electricals, spares</t>
  </si>
  <si>
    <t>Local + imported</t>
  </si>
  <si>
    <t>Civil works &amp; sheds</t>
  </si>
  <si>
    <t>Local</t>
  </si>
  <si>
    <t>Power / DG / gas connection</t>
  </si>
  <si>
    <t>Installation &amp; commissioning</t>
  </si>
  <si>
    <t>Supplier + local</t>
  </si>
  <si>
    <t>Pre-operative, training, contingency</t>
  </si>
  <si>
    <t>—</t>
  </si>
  <si>
    <t>Phase-1 fixed capital</t>
  </si>
  <si>
    <t>Working-capital margin (promoter)</t>
  </si>
  <si>
    <t>Phase-1 project cost</t>
  </si>
  <si>
    <t>Phase 2 — Export-product add-ons (Year 2)</t>
  </si>
  <si>
    <t>Brick-slip diamond saw line</t>
  </si>
  <si>
    <t>Italy — Ferrari &amp; Cigarini (premium)</t>
  </si>
  <si>
    <t>Engobe / sanding / colour line</t>
  </si>
  <si>
    <t>China / Turkey</t>
  </si>
  <si>
    <t>Additional dryer &amp; handling</t>
  </si>
  <si>
    <t>Phase-2 total (from internal accruals)</t>
  </si>
  <si>
    <t>Total project cost (Ph1 + Ph2)</t>
  </si>
  <si>
    <t>Funding</t>
  </si>
  <si>
    <t>Term loan (Assumptions!B30 × Ph1 fixed capital)</t>
  </si>
  <si>
    <t>Promoter equity (balance)</t>
  </si>
  <si>
    <t>Unit Economics (₹ per piece)</t>
  </si>
  <si>
    <t>Product</t>
  </si>
  <si>
    <t>Variable cost ₹</t>
  </si>
  <si>
    <t>Margin ₹</t>
  </si>
  <si>
    <t>Margin %</t>
  </si>
  <si>
    <t>Common / red brick (today)</t>
  </si>
  <si>
    <t>Brick slips — per m² of cladding</t>
  </si>
  <si>
    <t>Slips per m²</t>
  </si>
  <si>
    <t>FOB price ₹/m²</t>
  </si>
  <si>
    <t>Variable cost ₹/m²</t>
  </si>
  <si>
    <t>Gross margin ₹/m²</t>
  </si>
  <si>
    <t>Key insight: a solid red brick earns ~₹1.5; the same clay sliced into slips earns</t>
  </si>
  <si>
    <t>far more per m² (~45% margin, low freight) — that gap is the export business case.</t>
  </si>
  <si>
    <t>P&amp;L Projection (₹ Lakh)</t>
  </si>
  <si>
    <t>Brick bodies produced (mn)</t>
  </si>
  <si>
    <t>REVENUE (₹ Lakh)</t>
  </si>
  <si>
    <t xml:space="preserve">  Common / red brick</t>
  </si>
  <si>
    <t xml:space="preserve">  Wire-cut facing brick</t>
  </si>
  <si>
    <t xml:space="preserve">  Coloured facing brick</t>
  </si>
  <si>
    <t xml:space="preserve">  Brick slips (export)</t>
  </si>
  <si>
    <t>Total revenue</t>
  </si>
  <si>
    <t>COST OF GOODS (₹ Lakh)</t>
  </si>
  <si>
    <t>Total COGS</t>
  </si>
  <si>
    <t>Gross profit</t>
  </si>
  <si>
    <t>Gross margin %</t>
  </si>
  <si>
    <t>OPERATING &amp; FINANCE (₹ Lakh)</t>
  </si>
  <si>
    <t>SG&amp;A (selling, admin, cert, logistics)</t>
  </si>
  <si>
    <t>Depreciation</t>
  </si>
  <si>
    <t>Interest on term loan</t>
  </si>
  <si>
    <t>EBIT</t>
  </si>
  <si>
    <t>PBT (profit before tax)</t>
  </si>
  <si>
    <t>Tax</t>
  </si>
  <si>
    <t>PAT (net profit)</t>
  </si>
  <si>
    <t>PAT margin %</t>
  </si>
  <si>
    <t>EBITDA</t>
  </si>
  <si>
    <t>Cash flow (PAT + Dep)</t>
  </si>
  <si>
    <t>Cumulative cash flow</t>
  </si>
  <si>
    <t>DEBT SERVICE COVERAGE</t>
  </si>
  <si>
    <t>Principal repayment</t>
  </si>
  <si>
    <t>Cash avail. for debt service (PAT+Dep+Int)</t>
  </si>
  <si>
    <t>Debt service (interest + principal)</t>
  </si>
  <si>
    <t>DSCR (x)</t>
  </si>
  <si>
    <t>Returns Summary</t>
  </si>
  <si>
    <t>Total project cost (₹ Lakh)</t>
  </si>
  <si>
    <t xml:space="preserve">  Term loan (₹ Lakh)</t>
  </si>
  <si>
    <t xml:space="preserve">  Promoter equity + WC (₹ Lakh)</t>
  </si>
  <si>
    <t>Year-5 revenue (₹ Lakh)</t>
  </si>
  <si>
    <t>Year-5 EBITDA (₹ Lakh)</t>
  </si>
  <si>
    <t>Year-5 PAT (₹ Lakh)</t>
  </si>
  <si>
    <t>Year-5 EBITDA margin %</t>
  </si>
  <si>
    <t>Avg. annual PAT, Y1-Y5 (₹ Lakh)</t>
  </si>
  <si>
    <t>Return on project cost (avg PAT / cost)</t>
  </si>
  <si>
    <t>Payback period (years, cash basis)</t>
  </si>
  <si>
    <t>Average DSCR (x)</t>
  </si>
  <si>
    <t>Minimum DSCR (x)</t>
  </si>
  <si>
    <t>Note: indicative model. Confirm with clay lab test, supplier quotes, and bank terms.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</si>
</sst>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&quot;₹&quot;#,##0.0"/>
    <numFmt numFmtId="166" formatCode="#,##0;\(#,##0\);&quot;-&quot;"/>
    <numFmt numFmtId="167" formatCode="&quot;₹&quot;#,##0;\(&quot;₹&quot;#,##0\);&quot;-&quot;"/>
    <numFmt numFmtId="168" formatCode="#,##0.0"/>
    <numFmt numFmtId="169" formatCode="0.0&quot;x&quot;"/>
    <numFmt numFmtId="170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1F4E78"/>
      <name val="Arial"/>
    </font>
    <font>
      <b/>
      <sz val="12"/>
      <color rgb="FF000000"/>
      <name val="Arial"/>
    </font>
    <font>
      <sz val="11"/>
      <color rgb="FF000000"/>
      <name val="Arial"/>
    </font>
    <font>
      <sz val="11"/>
      <color rgb="FF0000FF"/>
      <name val="Arial"/>
    </font>
    <font>
      <b/>
      <sz val="11"/>
      <color rgb="FFFFFFFF"/>
      <name val="Arial"/>
    </font>
    <font>
      <b/>
      <sz val="11"/>
      <name val="Arial"/>
    </font>
    <font>
      <i/>
      <sz val="9"/>
      <color rgb="FF808080"/>
      <name val="Arial"/>
    </font>
    <font>
      <sz val="9"/>
      <color rgb="FF808080"/>
      <name val="Arial"/>
    </font>
    <font>
      <sz val="11"/>
      <color rgb="FF008000"/>
      <name val="Arial"/>
    </font>
    <font>
      <i/>
      <sz val="11"/>
      <color rgb="FF1F4E78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5" fillId="3" borderId="0" xfId="0" applyFont="1" applyFill="1" applyAlignment="1">
      <alignment horizontal="center"/>
    </xf>
    <xf numFmtId="164" fontId="4" fillId="0" borderId="0" xfId="0" applyNumberFormat="1" applyFont="1"/>
    <xf numFmtId="0" fontId="6" fillId="0" borderId="0" xfId="0" applyFont="1"/>
    <xf numFmtId="164" fontId="3" fillId="0" borderId="0" xfId="0" applyNumberFormat="1" applyFont="1"/>
    <xf numFmtId="165" fontId="4" fillId="0" borderId="0" xfId="0" applyNumberFormat="1" applyFont="1"/>
    <xf numFmtId="0" fontId="7" fillId="0" borderId="0" xfId="0" applyFont="1"/>
    <xf numFmtId="0" fontId="5" fillId="3" borderId="0" xfId="0" applyFont="1" applyFill="1"/>
    <xf numFmtId="166" fontId="4" fillId="0" borderId="0" xfId="0" applyNumberFormat="1" applyFont="1"/>
    <xf numFmtId="0" fontId="8" fillId="0" borderId="0" xfId="0" applyFont="1"/>
    <xf numFmtId="166" fontId="6" fillId="4" borderId="0" xfId="0" applyNumberFormat="1" applyFont="1" applyFill="1"/>
    <xf numFmtId="166" fontId="6" fillId="5" borderId="0" xfId="0" applyNumberFormat="1" applyFont="1" applyFill="1"/>
    <xf numFmtId="166" fontId="9" fillId="0" borderId="0" xfId="0" applyNumberFormat="1" applyFont="1"/>
    <xf numFmtId="166" fontId="3" fillId="0" borderId="0" xfId="0" applyNumberFormat="1" applyFont="1"/>
    <xf numFmtId="165" fontId="9" fillId="0" borderId="0" xfId="0" applyNumberFormat="1" applyFont="1"/>
    <xf numFmtId="165" fontId="3" fillId="0" borderId="0" xfId="0" applyNumberFormat="1" applyFont="1"/>
    <xf numFmtId="3" fontId="9" fillId="0" borderId="0" xfId="0" applyNumberFormat="1" applyFont="1"/>
    <xf numFmtId="167" fontId="3" fillId="0" borderId="0" xfId="0" applyNumberFormat="1" applyFont="1"/>
    <xf numFmtId="167" fontId="6" fillId="4" borderId="0" xfId="0" applyNumberFormat="1" applyFont="1" applyFill="1"/>
    <xf numFmtId="0" fontId="10" fillId="0" borderId="0" xfId="0" applyFont="1"/>
    <xf numFmtId="168" fontId="9" fillId="0" borderId="0" xfId="0" applyNumberFormat="1" applyFont="1"/>
    <xf numFmtId="166" fontId="6" fillId="0" borderId="0" xfId="0" applyNumberFormat="1" applyFont="1"/>
    <xf numFmtId="166" fontId="3" fillId="4" borderId="0" xfId="0" applyNumberFormat="1" applyFont="1" applyFill="1"/>
    <xf numFmtId="169" fontId="6" fillId="4" borderId="0" xfId="0" applyNumberFormat="1" applyFont="1" applyFill="1"/>
    <xf numFmtId="166" fontId="9" fillId="5" borderId="0" xfId="0" applyNumberFormat="1" applyFont="1" applyFill="1"/>
    <xf numFmtId="170" fontId="3" fillId="5" borderId="0" xfId="0" applyNumberFormat="1" applyFont="1" applyFill="1"/>
    <xf numFmtId="169" fontId="9" fillId="5" borderId="0" xfId="0" applyNumberFormat="1" applyFont="1" applyFill="1"/>
    <xf numFmtId="169" fontId="9" fillId="0" borderId="0" xfId="0" applyNumberFormat="1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abSelected="1" workbookViewId="0">
      <selection sqref="A1:F1"/>
    </sheetView>
  </sheetViews>
  <sheetFormatPr defaultRowHeight="14.5" x14ac:dyDescent="0.35"/>
  <cols>
    <col min="1" max="1" width="38" customWidth="1"/>
    <col min="2" max="6" width="13" customWidth="1"/>
  </cols>
  <sheetData>
    <row r="1" spans="1:6" ht="18" x14ac:dyDescent="0.4">
      <c r="A1" s="32" t="s">
        <v>0</v>
      </c>
      <c r="B1" s="33"/>
      <c r="C1" s="33"/>
      <c r="D1" s="33"/>
      <c r="E1" s="33"/>
      <c r="F1" s="33"/>
    </row>
    <row r="3" spans="1:6" ht="15.5" x14ac:dyDescent="0.35">
      <c r="A3" s="1" t="s">
        <v>1</v>
      </c>
    </row>
    <row r="4" spans="1:6" x14ac:dyDescent="0.35">
      <c r="A4" s="2" t="s">
        <v>2</v>
      </c>
      <c r="B4" s="3">
        <v>85</v>
      </c>
    </row>
    <row r="5" spans="1:6" x14ac:dyDescent="0.35">
      <c r="A5" s="2" t="s">
        <v>3</v>
      </c>
      <c r="B5" s="3">
        <v>300</v>
      </c>
    </row>
    <row r="6" spans="1:6" x14ac:dyDescent="0.35">
      <c r="A6" s="2" t="s">
        <v>4</v>
      </c>
      <c r="B6" s="3">
        <v>40000</v>
      </c>
    </row>
    <row r="7" spans="1:6" x14ac:dyDescent="0.35">
      <c r="A7" s="2" t="s">
        <v>5</v>
      </c>
      <c r="B7" s="4">
        <f>B5*B6</f>
        <v>12000000</v>
      </c>
    </row>
    <row r="8" spans="1:6" x14ac:dyDescent="0.35">
      <c r="A8" s="2" t="s">
        <v>6</v>
      </c>
      <c r="B8" s="3">
        <v>3</v>
      </c>
    </row>
    <row r="9" spans="1:6" x14ac:dyDescent="0.35">
      <c r="A9" s="2" t="s">
        <v>7</v>
      </c>
      <c r="B9" s="3">
        <v>60</v>
      </c>
    </row>
    <row r="11" spans="1:6" ht="15.5" x14ac:dyDescent="0.35">
      <c r="A11" s="1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</row>
    <row r="12" spans="1:6" x14ac:dyDescent="0.35">
      <c r="A12" s="2" t="s">
        <v>14</v>
      </c>
      <c r="B12" s="6">
        <v>0.35</v>
      </c>
      <c r="C12" s="6">
        <v>0.55000000000000004</v>
      </c>
      <c r="D12" s="6">
        <v>0.7</v>
      </c>
      <c r="E12" s="6">
        <v>0.8</v>
      </c>
      <c r="F12" s="6">
        <v>0.85</v>
      </c>
    </row>
    <row r="14" spans="1:6" ht="15.5" x14ac:dyDescent="0.35">
      <c r="A14" s="1" t="s">
        <v>15</v>
      </c>
      <c r="B14" s="5" t="s">
        <v>9</v>
      </c>
      <c r="C14" s="5" t="s">
        <v>10</v>
      </c>
      <c r="D14" s="5" t="s">
        <v>11</v>
      </c>
      <c r="E14" s="5" t="s">
        <v>12</v>
      </c>
      <c r="F14" s="5" t="s">
        <v>13</v>
      </c>
    </row>
    <row r="15" spans="1:6" x14ac:dyDescent="0.35">
      <c r="A15" s="2" t="s">
        <v>16</v>
      </c>
      <c r="B15" s="6">
        <v>0.3</v>
      </c>
      <c r="C15" s="6">
        <v>0.2</v>
      </c>
      <c r="D15" s="6">
        <v>0.15</v>
      </c>
      <c r="E15" s="6">
        <v>0.1</v>
      </c>
      <c r="F15" s="6">
        <v>0.1</v>
      </c>
    </row>
    <row r="16" spans="1:6" x14ac:dyDescent="0.35">
      <c r="A16" s="2" t="s">
        <v>17</v>
      </c>
      <c r="B16" s="6">
        <v>0.5</v>
      </c>
      <c r="C16" s="6">
        <v>0.35</v>
      </c>
      <c r="D16" s="6">
        <v>0.25</v>
      </c>
      <c r="E16" s="6">
        <v>0.2</v>
      </c>
      <c r="F16" s="6">
        <v>0.15</v>
      </c>
    </row>
    <row r="17" spans="1:6" x14ac:dyDescent="0.35">
      <c r="A17" s="2" t="s">
        <v>18</v>
      </c>
      <c r="B17" s="6">
        <v>0.2</v>
      </c>
      <c r="C17" s="6">
        <v>0.25</v>
      </c>
      <c r="D17" s="6">
        <v>0.25</v>
      </c>
      <c r="E17" s="6">
        <v>0.3</v>
      </c>
      <c r="F17" s="6">
        <v>0.3</v>
      </c>
    </row>
    <row r="18" spans="1:6" x14ac:dyDescent="0.35">
      <c r="A18" s="2" t="s">
        <v>19</v>
      </c>
      <c r="B18" s="6">
        <v>0</v>
      </c>
      <c r="C18" s="6">
        <v>0.2</v>
      </c>
      <c r="D18" s="6">
        <v>0.35</v>
      </c>
      <c r="E18" s="6">
        <v>0.4</v>
      </c>
      <c r="F18" s="6">
        <v>0.45</v>
      </c>
    </row>
    <row r="19" spans="1:6" x14ac:dyDescent="0.35">
      <c r="A19" s="7" t="s">
        <v>20</v>
      </c>
      <c r="B19" s="8">
        <f>SUM(B15:B18)</f>
        <v>1</v>
      </c>
      <c r="C19" s="8">
        <f>SUM(C15:C18)</f>
        <v>1</v>
      </c>
      <c r="D19" s="8">
        <f>SUM(D15:D18)</f>
        <v>1</v>
      </c>
      <c r="E19" s="8">
        <f>SUM(E15:E18)</f>
        <v>1</v>
      </c>
      <c r="F19" s="8">
        <f>SUM(F15:F18)</f>
        <v>1</v>
      </c>
    </row>
    <row r="21" spans="1:6" ht="15.5" x14ac:dyDescent="0.35">
      <c r="A21" s="1" t="s">
        <v>21</v>
      </c>
      <c r="B21" s="5" t="s">
        <v>22</v>
      </c>
      <c r="C21" s="5" t="s">
        <v>23</v>
      </c>
    </row>
    <row r="22" spans="1:6" x14ac:dyDescent="0.35">
      <c r="A22" s="2" t="s">
        <v>16</v>
      </c>
      <c r="B22" s="9">
        <v>8</v>
      </c>
      <c r="C22" s="9">
        <v>6.5</v>
      </c>
    </row>
    <row r="23" spans="1:6" x14ac:dyDescent="0.35">
      <c r="A23" s="2" t="s">
        <v>17</v>
      </c>
      <c r="B23" s="9">
        <v>18</v>
      </c>
      <c r="C23" s="9">
        <v>13</v>
      </c>
    </row>
    <row r="24" spans="1:6" x14ac:dyDescent="0.35">
      <c r="A24" s="2" t="s">
        <v>18</v>
      </c>
      <c r="B24" s="9">
        <v>35</v>
      </c>
      <c r="C24" s="9">
        <v>25</v>
      </c>
    </row>
    <row r="25" spans="1:6" x14ac:dyDescent="0.35">
      <c r="A25" s="2" t="s">
        <v>24</v>
      </c>
      <c r="B25" s="9">
        <v>25</v>
      </c>
      <c r="C25" s="9">
        <v>14</v>
      </c>
    </row>
    <row r="27" spans="1:6" ht="15.5" x14ac:dyDescent="0.35">
      <c r="A27" s="1" t="s">
        <v>25</v>
      </c>
    </row>
    <row r="28" spans="1:6" x14ac:dyDescent="0.35">
      <c r="A28" s="2" t="s">
        <v>26</v>
      </c>
      <c r="B28" s="6">
        <v>0.11</v>
      </c>
    </row>
    <row r="29" spans="1:6" x14ac:dyDescent="0.35">
      <c r="A29" s="2" t="s">
        <v>27</v>
      </c>
      <c r="B29" s="3">
        <v>7</v>
      </c>
    </row>
    <row r="30" spans="1:6" x14ac:dyDescent="0.35">
      <c r="A30" s="2" t="s">
        <v>28</v>
      </c>
      <c r="B30" s="6">
        <v>0.65</v>
      </c>
    </row>
    <row r="31" spans="1:6" x14ac:dyDescent="0.35">
      <c r="A31" s="2" t="s">
        <v>29</v>
      </c>
      <c r="B31" s="6">
        <v>0.25</v>
      </c>
    </row>
    <row r="32" spans="1:6" x14ac:dyDescent="0.35">
      <c r="A32" s="2" t="s">
        <v>30</v>
      </c>
      <c r="B32" s="6">
        <v>0.1</v>
      </c>
    </row>
    <row r="33" spans="1:2" x14ac:dyDescent="0.35">
      <c r="A33" s="2" t="s">
        <v>31</v>
      </c>
      <c r="B33" s="6">
        <v>0.1</v>
      </c>
    </row>
    <row r="34" spans="1:2" x14ac:dyDescent="0.35">
      <c r="A34" s="2" t="s">
        <v>32</v>
      </c>
      <c r="B34" s="3">
        <v>50</v>
      </c>
    </row>
    <row r="37" spans="1:2" x14ac:dyDescent="0.35">
      <c r="A37" s="10" t="s">
        <v>33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showGridLines="0" workbookViewId="0"/>
  </sheetViews>
  <sheetFormatPr defaultRowHeight="14.5" x14ac:dyDescent="0.35"/>
  <cols>
    <col min="1" max="1" width="42" customWidth="1"/>
    <col min="2" max="2" width="14" customWidth="1"/>
    <col min="3" max="3" width="40" customWidth="1"/>
  </cols>
  <sheetData>
    <row r="1" spans="1:3" ht="18" x14ac:dyDescent="0.4">
      <c r="A1" s="32" t="s">
        <v>34</v>
      </c>
      <c r="B1" s="33"/>
      <c r="C1" s="33"/>
    </row>
    <row r="3" spans="1:3" ht="15.5" x14ac:dyDescent="0.35">
      <c r="A3" s="1" t="s">
        <v>35</v>
      </c>
    </row>
    <row r="4" spans="1:3" x14ac:dyDescent="0.35">
      <c r="A4" s="11" t="s">
        <v>36</v>
      </c>
      <c r="B4" s="11" t="s">
        <v>37</v>
      </c>
      <c r="C4" s="11" t="s">
        <v>38</v>
      </c>
    </row>
    <row r="5" spans="1:3" x14ac:dyDescent="0.35">
      <c r="A5" s="2" t="s">
        <v>39</v>
      </c>
      <c r="B5" s="12">
        <v>80</v>
      </c>
      <c r="C5" s="13" t="s">
        <v>40</v>
      </c>
    </row>
    <row r="6" spans="1:3" x14ac:dyDescent="0.35">
      <c r="A6" s="2" t="s">
        <v>41</v>
      </c>
      <c r="B6" s="12">
        <v>90</v>
      </c>
      <c r="C6" s="13" t="s">
        <v>42</v>
      </c>
    </row>
    <row r="7" spans="1:3" x14ac:dyDescent="0.35">
      <c r="A7" s="2" t="s">
        <v>43</v>
      </c>
      <c r="B7" s="12">
        <v>20</v>
      </c>
      <c r="C7" s="13" t="s">
        <v>44</v>
      </c>
    </row>
    <row r="8" spans="1:3" x14ac:dyDescent="0.35">
      <c r="A8" s="2" t="s">
        <v>45</v>
      </c>
      <c r="B8" s="12">
        <v>85</v>
      </c>
      <c r="C8" s="13" t="s">
        <v>44</v>
      </c>
    </row>
    <row r="9" spans="1:3" x14ac:dyDescent="0.35">
      <c r="A9" s="2" t="s">
        <v>46</v>
      </c>
      <c r="B9" s="12">
        <v>185</v>
      </c>
      <c r="C9" s="13" t="s">
        <v>47</v>
      </c>
    </row>
    <row r="10" spans="1:3" x14ac:dyDescent="0.35">
      <c r="A10" s="2" t="s">
        <v>48</v>
      </c>
      <c r="B10" s="12">
        <v>60</v>
      </c>
      <c r="C10" s="13" t="s">
        <v>49</v>
      </c>
    </row>
    <row r="11" spans="1:3" x14ac:dyDescent="0.35">
      <c r="A11" s="2" t="s">
        <v>50</v>
      </c>
      <c r="B11" s="12">
        <v>75</v>
      </c>
      <c r="C11" s="13" t="s">
        <v>51</v>
      </c>
    </row>
    <row r="12" spans="1:3" x14ac:dyDescent="0.35">
      <c r="A12" s="2" t="s">
        <v>52</v>
      </c>
      <c r="B12" s="12">
        <v>40</v>
      </c>
      <c r="C12" s="13" t="s">
        <v>51</v>
      </c>
    </row>
    <row r="13" spans="1:3" x14ac:dyDescent="0.35">
      <c r="A13" s="2" t="s">
        <v>53</v>
      </c>
      <c r="B13" s="12">
        <v>35</v>
      </c>
      <c r="C13" s="13" t="s">
        <v>54</v>
      </c>
    </row>
    <row r="14" spans="1:3" x14ac:dyDescent="0.35">
      <c r="A14" s="2" t="s">
        <v>55</v>
      </c>
      <c r="B14" s="12">
        <v>30</v>
      </c>
      <c r="C14" s="13" t="s">
        <v>56</v>
      </c>
    </row>
    <row r="15" spans="1:3" x14ac:dyDescent="0.35">
      <c r="A15" s="7" t="s">
        <v>57</v>
      </c>
      <c r="B15" s="14">
        <f>SUM(B5:B14)</f>
        <v>700</v>
      </c>
    </row>
    <row r="16" spans="1:3" x14ac:dyDescent="0.35">
      <c r="A16" s="2" t="s">
        <v>58</v>
      </c>
      <c r="B16" s="12">
        <v>60</v>
      </c>
    </row>
    <row r="17" spans="1:3" x14ac:dyDescent="0.35">
      <c r="A17" s="7" t="s">
        <v>59</v>
      </c>
      <c r="B17" s="15">
        <f>B15+B16</f>
        <v>760</v>
      </c>
    </row>
    <row r="19" spans="1:3" ht="15.5" x14ac:dyDescent="0.35">
      <c r="A19" s="1" t="s">
        <v>60</v>
      </c>
    </row>
    <row r="20" spans="1:3" x14ac:dyDescent="0.35">
      <c r="A20" s="11" t="s">
        <v>36</v>
      </c>
      <c r="B20" s="11" t="s">
        <v>37</v>
      </c>
      <c r="C20" s="11" t="s">
        <v>38</v>
      </c>
    </row>
    <row r="21" spans="1:3" x14ac:dyDescent="0.35">
      <c r="A21" s="2" t="s">
        <v>61</v>
      </c>
      <c r="B21" s="12">
        <v>90</v>
      </c>
      <c r="C21" s="13" t="s">
        <v>62</v>
      </c>
    </row>
    <row r="22" spans="1:3" x14ac:dyDescent="0.35">
      <c r="A22" s="2" t="s">
        <v>63</v>
      </c>
      <c r="B22" s="12">
        <v>70</v>
      </c>
      <c r="C22" s="13" t="s">
        <v>64</v>
      </c>
    </row>
    <row r="23" spans="1:3" x14ac:dyDescent="0.35">
      <c r="A23" s="2" t="s">
        <v>65</v>
      </c>
      <c r="B23" s="12">
        <v>30</v>
      </c>
      <c r="C23" s="13" t="s">
        <v>44</v>
      </c>
    </row>
    <row r="24" spans="1:3" x14ac:dyDescent="0.35">
      <c r="A24" s="2" t="s">
        <v>53</v>
      </c>
      <c r="B24" s="12">
        <v>20</v>
      </c>
      <c r="C24" s="13" t="s">
        <v>54</v>
      </c>
    </row>
    <row r="25" spans="1:3" x14ac:dyDescent="0.35">
      <c r="A25" s="7" t="s">
        <v>66</v>
      </c>
      <c r="B25" s="14">
        <f>SUM(B21:B24)</f>
        <v>210</v>
      </c>
    </row>
    <row r="27" spans="1:3" x14ac:dyDescent="0.35">
      <c r="A27" s="7" t="s">
        <v>67</v>
      </c>
      <c r="B27" s="15">
        <f>B17+B25</f>
        <v>970</v>
      </c>
    </row>
    <row r="29" spans="1:3" ht="15.5" x14ac:dyDescent="0.35">
      <c r="A29" s="1" t="s">
        <v>68</v>
      </c>
    </row>
    <row r="30" spans="1:3" x14ac:dyDescent="0.35">
      <c r="A30" s="2" t="s">
        <v>69</v>
      </c>
      <c r="B30" s="16">
        <f>Assumptions!B30*B15</f>
        <v>455</v>
      </c>
    </row>
    <row r="31" spans="1:3" x14ac:dyDescent="0.35">
      <c r="A31" s="2" t="s">
        <v>70</v>
      </c>
      <c r="B31" s="17">
        <f>B17-B30</f>
        <v>305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showGridLines="0" workbookViewId="0"/>
  </sheetViews>
  <sheetFormatPr defaultRowHeight="14.5" x14ac:dyDescent="0.35"/>
  <cols>
    <col min="1" max="1" width="30" customWidth="1"/>
    <col min="2" max="4" width="14" customWidth="1"/>
    <col min="5" max="5" width="16" customWidth="1"/>
  </cols>
  <sheetData>
    <row r="1" spans="1:5" ht="18" x14ac:dyDescent="0.4">
      <c r="A1" s="32" t="s">
        <v>71</v>
      </c>
      <c r="B1" s="33"/>
      <c r="C1" s="33"/>
      <c r="D1" s="33"/>
      <c r="E1" s="33"/>
    </row>
    <row r="3" spans="1:5" x14ac:dyDescent="0.35">
      <c r="A3" s="5" t="s">
        <v>72</v>
      </c>
      <c r="B3" s="5" t="s">
        <v>22</v>
      </c>
      <c r="C3" s="5" t="s">
        <v>73</v>
      </c>
      <c r="D3" s="5" t="s">
        <v>74</v>
      </c>
      <c r="E3" s="5" t="s">
        <v>75</v>
      </c>
    </row>
    <row r="4" spans="1:5" x14ac:dyDescent="0.35">
      <c r="A4" s="2" t="s">
        <v>76</v>
      </c>
      <c r="B4" s="18">
        <f>Assumptions!B22</f>
        <v>8</v>
      </c>
      <c r="C4" s="18">
        <f>Assumptions!C22</f>
        <v>6.5</v>
      </c>
      <c r="D4" s="19">
        <f>B4-C4</f>
        <v>1.5</v>
      </c>
      <c r="E4" s="8">
        <f>IF(B4=0,0,D4/B4)</f>
        <v>0.1875</v>
      </c>
    </row>
    <row r="5" spans="1:5" x14ac:dyDescent="0.35">
      <c r="A5" s="2" t="s">
        <v>17</v>
      </c>
      <c r="B5" s="18">
        <f>Assumptions!B23</f>
        <v>18</v>
      </c>
      <c r="C5" s="18">
        <f>Assumptions!C23</f>
        <v>13</v>
      </c>
      <c r="D5" s="19">
        <f>B5-C5</f>
        <v>5</v>
      </c>
      <c r="E5" s="8">
        <f>IF(B5=0,0,D5/B5)</f>
        <v>0.27777777777777779</v>
      </c>
    </row>
    <row r="6" spans="1:5" x14ac:dyDescent="0.35">
      <c r="A6" s="2" t="s">
        <v>18</v>
      </c>
      <c r="B6" s="18">
        <f>Assumptions!B24</f>
        <v>35</v>
      </c>
      <c r="C6" s="18">
        <f>Assumptions!C24</f>
        <v>25</v>
      </c>
      <c r="D6" s="19">
        <f>B6-C6</f>
        <v>10</v>
      </c>
      <c r="E6" s="8">
        <f>IF(B6=0,0,D6/B6)</f>
        <v>0.2857142857142857</v>
      </c>
    </row>
    <row r="7" spans="1:5" x14ac:dyDescent="0.35">
      <c r="A7" s="2" t="s">
        <v>24</v>
      </c>
      <c r="B7" s="18">
        <f>Assumptions!B25</f>
        <v>25</v>
      </c>
      <c r="C7" s="18">
        <f>Assumptions!C25</f>
        <v>14</v>
      </c>
      <c r="D7" s="19">
        <f>B7-C7</f>
        <v>11</v>
      </c>
      <c r="E7" s="8">
        <f>IF(B7=0,0,D7/B7)</f>
        <v>0.44</v>
      </c>
    </row>
    <row r="9" spans="1:5" ht="15.5" x14ac:dyDescent="0.35">
      <c r="A9" s="1" t="s">
        <v>77</v>
      </c>
    </row>
    <row r="10" spans="1:5" x14ac:dyDescent="0.35">
      <c r="A10" s="2" t="s">
        <v>78</v>
      </c>
      <c r="B10" s="20">
        <f>Assumptions!B9</f>
        <v>60</v>
      </c>
    </row>
    <row r="11" spans="1:5" x14ac:dyDescent="0.35">
      <c r="A11" s="2" t="s">
        <v>79</v>
      </c>
      <c r="B11" s="21">
        <f>B10*Assumptions!B25</f>
        <v>1500</v>
      </c>
    </row>
    <row r="12" spans="1:5" x14ac:dyDescent="0.35">
      <c r="A12" s="2" t="s">
        <v>80</v>
      </c>
      <c r="B12" s="21">
        <f>B10*Assumptions!C25</f>
        <v>840</v>
      </c>
    </row>
    <row r="13" spans="1:5" x14ac:dyDescent="0.35">
      <c r="A13" s="7" t="s">
        <v>81</v>
      </c>
      <c r="B13" s="22">
        <f>B10*(Assumptions!B25-Assumptions!C25)</f>
        <v>660</v>
      </c>
    </row>
    <row r="15" spans="1:5" x14ac:dyDescent="0.35">
      <c r="A15" s="23" t="s">
        <v>82</v>
      </c>
    </row>
    <row r="16" spans="1:5" x14ac:dyDescent="0.35">
      <c r="A16" s="23" t="s">
        <v>83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showGridLines="0" workbookViewId="0"/>
  </sheetViews>
  <sheetFormatPr defaultRowHeight="14.5" x14ac:dyDescent="0.35"/>
  <cols>
    <col min="1" max="1" width="40" customWidth="1"/>
    <col min="2" max="6" width="13" customWidth="1"/>
  </cols>
  <sheetData>
    <row r="1" spans="1:6" ht="18" x14ac:dyDescent="0.4">
      <c r="A1" s="32" t="s">
        <v>84</v>
      </c>
      <c r="B1" s="33"/>
      <c r="C1" s="33"/>
      <c r="D1" s="33"/>
      <c r="E1" s="33"/>
      <c r="F1" s="33"/>
    </row>
    <row r="3" spans="1:6" x14ac:dyDescent="0.35"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</row>
    <row r="4" spans="1:6" x14ac:dyDescent="0.35">
      <c r="A4" s="2" t="s">
        <v>85</v>
      </c>
      <c r="B4" s="24">
        <f>Assumptions!$B$7*Assumptions!B12/1000000</f>
        <v>4.2</v>
      </c>
      <c r="C4" s="24">
        <f>Assumptions!$B$7*Assumptions!C12/1000000</f>
        <v>6.6000000000000005</v>
      </c>
      <c r="D4" s="24">
        <f>Assumptions!$B$7*Assumptions!D12/1000000</f>
        <v>8.4</v>
      </c>
      <c r="E4" s="24">
        <f>Assumptions!$B$7*Assumptions!E12/1000000</f>
        <v>9.6</v>
      </c>
      <c r="F4" s="24">
        <f>Assumptions!$B$7*Assumptions!F12/1000000</f>
        <v>10.199999999999999</v>
      </c>
    </row>
    <row r="6" spans="1:6" ht="15.5" x14ac:dyDescent="0.35">
      <c r="A6" s="1" t="s">
        <v>86</v>
      </c>
    </row>
    <row r="7" spans="1:6" x14ac:dyDescent="0.35">
      <c r="A7" s="2" t="s">
        <v>87</v>
      </c>
      <c r="B7" s="16">
        <f>Assumptions!$B$7*Assumptions!B12*Assumptions!B15*Assumptions!$B$22/100000</f>
        <v>100.8</v>
      </c>
      <c r="C7" s="16">
        <f>Assumptions!$B$7*Assumptions!C12*Assumptions!C15*Assumptions!$B$22/100000</f>
        <v>105.60000000000002</v>
      </c>
      <c r="D7" s="16">
        <f>Assumptions!$B$7*Assumptions!D12*Assumptions!D15*Assumptions!$B$22/100000</f>
        <v>100.8</v>
      </c>
      <c r="E7" s="16">
        <f>Assumptions!$B$7*Assumptions!E12*Assumptions!E15*Assumptions!$B$22/100000</f>
        <v>76.8</v>
      </c>
      <c r="F7" s="16">
        <f>Assumptions!$B$7*Assumptions!F12*Assumptions!F15*Assumptions!$B$22/100000</f>
        <v>81.599999999999994</v>
      </c>
    </row>
    <row r="8" spans="1:6" x14ac:dyDescent="0.35">
      <c r="A8" s="2" t="s">
        <v>88</v>
      </c>
      <c r="B8" s="16">
        <f>Assumptions!$B$7*Assumptions!B12*Assumptions!B16*Assumptions!$B$23/100000</f>
        <v>378</v>
      </c>
      <c r="C8" s="16">
        <f>Assumptions!$B$7*Assumptions!C12*Assumptions!C16*Assumptions!$B$23/100000</f>
        <v>415.8</v>
      </c>
      <c r="D8" s="16">
        <f>Assumptions!$B$7*Assumptions!D12*Assumptions!D16*Assumptions!$B$23/100000</f>
        <v>378</v>
      </c>
      <c r="E8" s="16">
        <f>Assumptions!$B$7*Assumptions!E12*Assumptions!E16*Assumptions!$B$23/100000</f>
        <v>345.6</v>
      </c>
      <c r="F8" s="16">
        <f>Assumptions!$B$7*Assumptions!F12*Assumptions!F16*Assumptions!$B$23/100000</f>
        <v>275.39999999999998</v>
      </c>
    </row>
    <row r="9" spans="1:6" x14ac:dyDescent="0.35">
      <c r="A9" s="2" t="s">
        <v>89</v>
      </c>
      <c r="B9" s="16">
        <f>Assumptions!$B$7*Assumptions!B12*Assumptions!B17*Assumptions!$B$24/100000</f>
        <v>294</v>
      </c>
      <c r="C9" s="16">
        <f>Assumptions!$B$7*Assumptions!C12*Assumptions!C17*Assumptions!$B$24/100000</f>
        <v>577.50000000000011</v>
      </c>
      <c r="D9" s="16">
        <f>Assumptions!$B$7*Assumptions!D12*Assumptions!D17*Assumptions!$B$24/100000</f>
        <v>735</v>
      </c>
      <c r="E9" s="16">
        <f>Assumptions!$B$7*Assumptions!E12*Assumptions!E17*Assumptions!$B$24/100000</f>
        <v>1008</v>
      </c>
      <c r="F9" s="16">
        <f>Assumptions!$B$7*Assumptions!F12*Assumptions!F17*Assumptions!$B$24/100000</f>
        <v>1071</v>
      </c>
    </row>
    <row r="10" spans="1:6" x14ac:dyDescent="0.35">
      <c r="A10" s="2" t="s">
        <v>90</v>
      </c>
      <c r="B10" s="16">
        <f>Assumptions!$B$7*Assumptions!B12*Assumptions!B18*Assumptions!$B$8*Assumptions!$B$25/100000</f>
        <v>0</v>
      </c>
      <c r="C10" s="16">
        <f>Assumptions!$B$7*Assumptions!C12*Assumptions!C18*Assumptions!$B$8*Assumptions!$B$25/100000</f>
        <v>990.00000000000034</v>
      </c>
      <c r="D10" s="16">
        <f>Assumptions!$B$7*Assumptions!D12*Assumptions!D18*Assumptions!$B$8*Assumptions!$B$25/100000</f>
        <v>2205</v>
      </c>
      <c r="E10" s="16">
        <f>Assumptions!$B$7*Assumptions!E12*Assumptions!E18*Assumptions!$B$8*Assumptions!$B$25/100000</f>
        <v>2880</v>
      </c>
      <c r="F10" s="16">
        <f>Assumptions!$B$7*Assumptions!F12*Assumptions!F18*Assumptions!$B$8*Assumptions!$B$25/100000</f>
        <v>3442.5</v>
      </c>
    </row>
    <row r="11" spans="1:6" x14ac:dyDescent="0.35">
      <c r="A11" s="7" t="s">
        <v>91</v>
      </c>
      <c r="B11" s="14">
        <f>SUM(B7:B10)</f>
        <v>772.8</v>
      </c>
      <c r="C11" s="14">
        <f>SUM(C7:C10)</f>
        <v>2088.9000000000005</v>
      </c>
      <c r="D11" s="14">
        <f>SUM(D7:D10)</f>
        <v>3418.8</v>
      </c>
      <c r="E11" s="14">
        <f>SUM(E7:E10)</f>
        <v>4310.3999999999996</v>
      </c>
      <c r="F11" s="14">
        <f>SUM(F7:F10)</f>
        <v>4870.5</v>
      </c>
    </row>
    <row r="13" spans="1:6" ht="15.5" x14ac:dyDescent="0.35">
      <c r="A13" s="1" t="s">
        <v>92</v>
      </c>
    </row>
    <row r="14" spans="1:6" x14ac:dyDescent="0.35">
      <c r="A14" s="2" t="s">
        <v>87</v>
      </c>
      <c r="B14" s="16">
        <f>Assumptions!$B$7*Assumptions!B12*Assumptions!B15*Assumptions!$C$22/100000</f>
        <v>81.900000000000006</v>
      </c>
      <c r="C14" s="16">
        <f>Assumptions!$B$7*Assumptions!C12*Assumptions!C15*Assumptions!$C$22/100000</f>
        <v>85.800000000000026</v>
      </c>
      <c r="D14" s="16">
        <f>Assumptions!$B$7*Assumptions!D12*Assumptions!D15*Assumptions!$C$22/100000</f>
        <v>81.900000000000006</v>
      </c>
      <c r="E14" s="16">
        <f>Assumptions!$B$7*Assumptions!E12*Assumptions!E15*Assumptions!$C$22/100000</f>
        <v>62.4</v>
      </c>
      <c r="F14" s="16">
        <f>Assumptions!$B$7*Assumptions!F12*Assumptions!F15*Assumptions!$C$22/100000</f>
        <v>66.3</v>
      </c>
    </row>
    <row r="15" spans="1:6" x14ac:dyDescent="0.35">
      <c r="A15" s="2" t="s">
        <v>88</v>
      </c>
      <c r="B15" s="16">
        <f>Assumptions!$B$7*Assumptions!B12*Assumptions!B16*Assumptions!$C$23/100000</f>
        <v>273</v>
      </c>
      <c r="C15" s="16">
        <f>Assumptions!$B$7*Assumptions!C12*Assumptions!C16*Assumptions!$C$23/100000</f>
        <v>300.3</v>
      </c>
      <c r="D15" s="16">
        <f>Assumptions!$B$7*Assumptions!D12*Assumptions!D16*Assumptions!$C$23/100000</f>
        <v>273</v>
      </c>
      <c r="E15" s="16">
        <f>Assumptions!$B$7*Assumptions!E12*Assumptions!E16*Assumptions!$C$23/100000</f>
        <v>249.6</v>
      </c>
      <c r="F15" s="16">
        <f>Assumptions!$B$7*Assumptions!F12*Assumptions!F16*Assumptions!$C$23/100000</f>
        <v>198.9</v>
      </c>
    </row>
    <row r="16" spans="1:6" x14ac:dyDescent="0.35">
      <c r="A16" s="2" t="s">
        <v>89</v>
      </c>
      <c r="B16" s="16">
        <f>Assumptions!$B$7*Assumptions!B12*Assumptions!B17*Assumptions!$C$24/100000</f>
        <v>210</v>
      </c>
      <c r="C16" s="16">
        <f>Assumptions!$B$7*Assumptions!C12*Assumptions!C17*Assumptions!$C$24/100000</f>
        <v>412.50000000000006</v>
      </c>
      <c r="D16" s="16">
        <f>Assumptions!$B$7*Assumptions!D12*Assumptions!D17*Assumptions!$C$24/100000</f>
        <v>525</v>
      </c>
      <c r="E16" s="16">
        <f>Assumptions!$B$7*Assumptions!E12*Assumptions!E17*Assumptions!$C$24/100000</f>
        <v>720</v>
      </c>
      <c r="F16" s="16">
        <f>Assumptions!$B$7*Assumptions!F12*Assumptions!F17*Assumptions!$C$24/100000</f>
        <v>765</v>
      </c>
    </row>
    <row r="17" spans="1:6" x14ac:dyDescent="0.35">
      <c r="A17" s="2" t="s">
        <v>90</v>
      </c>
      <c r="B17" s="16">
        <f>Assumptions!$B$7*Assumptions!B12*Assumptions!B18*Assumptions!$B$8*Assumptions!$C$25/100000</f>
        <v>0</v>
      </c>
      <c r="C17" s="16">
        <f>Assumptions!$B$7*Assumptions!C12*Assumptions!C18*Assumptions!$B$8*Assumptions!$C$25/100000</f>
        <v>554.4000000000002</v>
      </c>
      <c r="D17" s="16">
        <f>Assumptions!$B$7*Assumptions!D12*Assumptions!D18*Assumptions!$B$8*Assumptions!$C$25/100000</f>
        <v>1234.8</v>
      </c>
      <c r="E17" s="16">
        <f>Assumptions!$B$7*Assumptions!E12*Assumptions!E18*Assumptions!$B$8*Assumptions!$C$25/100000</f>
        <v>1612.8</v>
      </c>
      <c r="F17" s="16">
        <f>Assumptions!$B$7*Assumptions!F12*Assumptions!F18*Assumptions!$B$8*Assumptions!$C$25/100000</f>
        <v>1927.8</v>
      </c>
    </row>
    <row r="18" spans="1:6" x14ac:dyDescent="0.35">
      <c r="A18" s="7" t="s">
        <v>93</v>
      </c>
      <c r="B18" s="14">
        <f>SUM(B14:B17)</f>
        <v>564.9</v>
      </c>
      <c r="C18" s="14">
        <f>SUM(C14:C17)</f>
        <v>1353.0000000000005</v>
      </c>
      <c r="D18" s="14">
        <f>SUM(D14:D17)</f>
        <v>2114.6999999999998</v>
      </c>
      <c r="E18" s="14">
        <f>SUM(E14:E17)</f>
        <v>2644.8</v>
      </c>
      <c r="F18" s="14">
        <f>SUM(F14:F17)</f>
        <v>2958</v>
      </c>
    </row>
    <row r="20" spans="1:6" x14ac:dyDescent="0.35">
      <c r="A20" s="7" t="s">
        <v>94</v>
      </c>
      <c r="B20" s="14">
        <f>B11-B18</f>
        <v>207.89999999999998</v>
      </c>
      <c r="C20" s="14">
        <f>C11-C18</f>
        <v>735.90000000000009</v>
      </c>
      <c r="D20" s="14">
        <f>D11-D18</f>
        <v>1304.1000000000004</v>
      </c>
      <c r="E20" s="14">
        <f>E11-E18</f>
        <v>1665.5999999999995</v>
      </c>
      <c r="F20" s="14">
        <f>F11-F18</f>
        <v>1912.5</v>
      </c>
    </row>
    <row r="21" spans="1:6" x14ac:dyDescent="0.35">
      <c r="A21" s="2" t="s">
        <v>95</v>
      </c>
      <c r="B21" s="8">
        <f>IF(B11=0,0,B20/B11)</f>
        <v>0.26902173913043476</v>
      </c>
      <c r="C21" s="8">
        <f>IF(C11=0,0,C20/C11)</f>
        <v>0.35229067930489727</v>
      </c>
      <c r="D21" s="8">
        <f>IF(D11=0,0,D20/D11)</f>
        <v>0.38144963144963151</v>
      </c>
      <c r="E21" s="8">
        <f>IF(E11=0,0,E20/E11)</f>
        <v>0.38641425389755002</v>
      </c>
      <c r="F21" s="8">
        <f>IF(F11=0,0,F20/F11)</f>
        <v>0.39267015706806285</v>
      </c>
    </row>
    <row r="23" spans="1:6" ht="15.5" x14ac:dyDescent="0.35">
      <c r="A23" s="1" t="s">
        <v>96</v>
      </c>
    </row>
    <row r="24" spans="1:6" x14ac:dyDescent="0.35">
      <c r="A24" s="2" t="s">
        <v>97</v>
      </c>
      <c r="B24" s="16">
        <f>B11*Assumptions!$B$33+Assumptions!$B$34</f>
        <v>127.28</v>
      </c>
      <c r="C24" s="16">
        <f>C11*Assumptions!$B$33+Assumptions!$B$34</f>
        <v>258.8900000000001</v>
      </c>
      <c r="D24" s="16">
        <f>D11*Assumptions!$B$33+Assumptions!$B$34</f>
        <v>391.88000000000005</v>
      </c>
      <c r="E24" s="16">
        <f>E11*Assumptions!$B$33+Assumptions!$B$34</f>
        <v>481.03999999999996</v>
      </c>
      <c r="F24" s="16">
        <f>F11*Assumptions!$B$33+Assumptions!$B$34</f>
        <v>537.04999999999995</v>
      </c>
    </row>
    <row r="25" spans="1:6" x14ac:dyDescent="0.35">
      <c r="A25" s="2" t="s">
        <v>98</v>
      </c>
      <c r="B25" s="16">
        <f>CAPEX!$B$15*Assumptions!$B$32</f>
        <v>70</v>
      </c>
      <c r="C25" s="16">
        <f>(CAPEX!$B$15+CAPEX!$B$25)*Assumptions!$B$32</f>
        <v>91</v>
      </c>
      <c r="D25" s="16">
        <f>(CAPEX!$B$15+CAPEX!$B$25)*Assumptions!$B$32</f>
        <v>91</v>
      </c>
      <c r="E25" s="16">
        <f>(CAPEX!$B$15+CAPEX!$B$25)*Assumptions!$B$32</f>
        <v>91</v>
      </c>
      <c r="F25" s="16">
        <f>(CAPEX!$B$15+CAPEX!$B$25)*Assumptions!$B$32</f>
        <v>91</v>
      </c>
    </row>
    <row r="26" spans="1:6" x14ac:dyDescent="0.35">
      <c r="A26" s="2" t="s">
        <v>99</v>
      </c>
      <c r="B26" s="16">
        <f>MAX(0,(CAPEX!$B$30-(CAPEX!$B$30/Assumptions!$B$29)*0)*Assumptions!$B$28)</f>
        <v>50.05</v>
      </c>
      <c r="C26" s="16">
        <f>MAX(0,(CAPEX!$B$30-(CAPEX!$B$30/Assumptions!$B$29)*1)*Assumptions!$B$28)</f>
        <v>42.9</v>
      </c>
      <c r="D26" s="16">
        <f>MAX(0,(CAPEX!$B$30-(CAPEX!$B$30/Assumptions!$B$29)*2)*Assumptions!$B$28)</f>
        <v>35.75</v>
      </c>
      <c r="E26" s="16">
        <f>MAX(0,(CAPEX!$B$30-(CAPEX!$B$30/Assumptions!$B$29)*3)*Assumptions!$B$28)</f>
        <v>28.6</v>
      </c>
      <c r="F26" s="16">
        <f>MAX(0,(CAPEX!$B$30-(CAPEX!$B$30/Assumptions!$B$29)*4)*Assumptions!$B$28)</f>
        <v>21.45</v>
      </c>
    </row>
    <row r="27" spans="1:6" x14ac:dyDescent="0.35">
      <c r="A27" s="7" t="s">
        <v>100</v>
      </c>
      <c r="B27" s="25">
        <f>B20-B24-B25</f>
        <v>10.619999999999976</v>
      </c>
      <c r="C27" s="25">
        <f>C20-C24-C25</f>
        <v>386.01</v>
      </c>
      <c r="D27" s="25">
        <f>D20-D24-D25</f>
        <v>821.22000000000025</v>
      </c>
      <c r="E27" s="25">
        <f>E20-E24-E25</f>
        <v>1093.5599999999995</v>
      </c>
      <c r="F27" s="25">
        <f>F20-F24-F25</f>
        <v>1284.45</v>
      </c>
    </row>
    <row r="28" spans="1:6" x14ac:dyDescent="0.35">
      <c r="A28" s="7" t="s">
        <v>101</v>
      </c>
      <c r="B28" s="25">
        <f>B27-B26</f>
        <v>-39.430000000000021</v>
      </c>
      <c r="C28" s="25">
        <f>C27-C26</f>
        <v>343.11</v>
      </c>
      <c r="D28" s="25">
        <f>D27-D26</f>
        <v>785.47000000000025</v>
      </c>
      <c r="E28" s="25">
        <f>E27-E26</f>
        <v>1064.9599999999996</v>
      </c>
      <c r="F28" s="25">
        <f>F27-F26</f>
        <v>1263</v>
      </c>
    </row>
    <row r="29" spans="1:6" x14ac:dyDescent="0.35">
      <c r="A29" s="2" t="s">
        <v>102</v>
      </c>
      <c r="B29" s="16">
        <f>MAX(0,B28*Assumptions!$B$31)</f>
        <v>0</v>
      </c>
      <c r="C29" s="16">
        <f>MAX(0,C28*Assumptions!$B$31)</f>
        <v>85.777500000000003</v>
      </c>
      <c r="D29" s="16">
        <f>MAX(0,D28*Assumptions!$B$31)</f>
        <v>196.36750000000006</v>
      </c>
      <c r="E29" s="16">
        <f>MAX(0,E28*Assumptions!$B$31)</f>
        <v>266.2399999999999</v>
      </c>
      <c r="F29" s="16">
        <f>MAX(0,F28*Assumptions!$B$31)</f>
        <v>315.75</v>
      </c>
    </row>
    <row r="30" spans="1:6" x14ac:dyDescent="0.35">
      <c r="A30" s="7" t="s">
        <v>103</v>
      </c>
      <c r="B30" s="15">
        <f>B28-B29</f>
        <v>-39.430000000000021</v>
      </c>
      <c r="C30" s="15">
        <f>C28-C29</f>
        <v>257.33249999999998</v>
      </c>
      <c r="D30" s="15">
        <f>D28-D29</f>
        <v>589.10250000000019</v>
      </c>
      <c r="E30" s="15">
        <f>E28-E29</f>
        <v>798.71999999999969</v>
      </c>
      <c r="F30" s="15">
        <f>F28-F29</f>
        <v>947.25</v>
      </c>
    </row>
    <row r="31" spans="1:6" x14ac:dyDescent="0.35">
      <c r="A31" s="2" t="s">
        <v>104</v>
      </c>
      <c r="B31" s="8">
        <f>IF(B11=0,0,B30/B11)</f>
        <v>-5.1022256728778498E-2</v>
      </c>
      <c r="C31" s="8">
        <f>IF(C11=0,0,C30/C11)</f>
        <v>0.12319043515725976</v>
      </c>
      <c r="D31" s="8">
        <f>IF(D11=0,0,D30/D11)</f>
        <v>0.1723126535626536</v>
      </c>
      <c r="E31" s="8">
        <f>IF(E11=0,0,E30/E11)</f>
        <v>0.18530066815144761</v>
      </c>
      <c r="F31" s="8">
        <f>IF(F11=0,0,F30/F11)</f>
        <v>0.19448721897135818</v>
      </c>
    </row>
    <row r="33" spans="1:6" x14ac:dyDescent="0.35">
      <c r="A33" s="7" t="s">
        <v>105</v>
      </c>
      <c r="B33" s="25">
        <f>B27+B25</f>
        <v>80.619999999999976</v>
      </c>
      <c r="C33" s="25">
        <f>C27+C25</f>
        <v>477.01</v>
      </c>
      <c r="D33" s="25">
        <f>D27+D25</f>
        <v>912.22000000000025</v>
      </c>
      <c r="E33" s="25">
        <f>E27+E25</f>
        <v>1184.5599999999995</v>
      </c>
      <c r="F33" s="25">
        <f>F27+F25</f>
        <v>1375.45</v>
      </c>
    </row>
    <row r="34" spans="1:6" x14ac:dyDescent="0.35">
      <c r="A34" s="2" t="s">
        <v>106</v>
      </c>
      <c r="B34" s="17">
        <f>B30+B25</f>
        <v>30.569999999999979</v>
      </c>
      <c r="C34" s="17">
        <f>C30+C25</f>
        <v>348.33249999999998</v>
      </c>
      <c r="D34" s="17">
        <f>D30+D25</f>
        <v>680.10250000000019</v>
      </c>
      <c r="E34" s="17">
        <f>E30+E25</f>
        <v>889.71999999999969</v>
      </c>
      <c r="F34" s="17">
        <f>F30+F25</f>
        <v>1038.25</v>
      </c>
    </row>
    <row r="35" spans="1:6" x14ac:dyDescent="0.35">
      <c r="A35" s="2" t="s">
        <v>107</v>
      </c>
      <c r="B35" s="26">
        <f>B34</f>
        <v>30.569999999999979</v>
      </c>
      <c r="C35" s="26">
        <f>B35+C34</f>
        <v>378.90249999999997</v>
      </c>
      <c r="D35" s="26">
        <f>C35+D34</f>
        <v>1059.0050000000001</v>
      </c>
      <c r="E35" s="26">
        <f>D35+E34</f>
        <v>1948.7249999999999</v>
      </c>
      <c r="F35" s="26">
        <f>E35+F34</f>
        <v>2986.9749999999999</v>
      </c>
    </row>
    <row r="37" spans="1:6" ht="15.5" x14ac:dyDescent="0.35">
      <c r="A37" s="1" t="s">
        <v>108</v>
      </c>
    </row>
    <row r="38" spans="1:6" x14ac:dyDescent="0.35">
      <c r="A38" s="2" t="s">
        <v>109</v>
      </c>
      <c r="B38" s="16">
        <f>IF(0+1&lt;=Assumptions!$B$29,CAPEX!$B$30/Assumptions!$B$29,0)</f>
        <v>65</v>
      </c>
      <c r="C38" s="16">
        <f>IF(1+1&lt;=Assumptions!$B$29,CAPEX!$B$30/Assumptions!$B$29,0)</f>
        <v>65</v>
      </c>
      <c r="D38" s="16">
        <f>IF(2+1&lt;=Assumptions!$B$29,CAPEX!$B$30/Assumptions!$B$29,0)</f>
        <v>65</v>
      </c>
      <c r="E38" s="16">
        <f>IF(3+1&lt;=Assumptions!$B$29,CAPEX!$B$30/Assumptions!$B$29,0)</f>
        <v>65</v>
      </c>
      <c r="F38" s="16">
        <f>IF(4+1&lt;=Assumptions!$B$29,CAPEX!$B$30/Assumptions!$B$29,0)</f>
        <v>65</v>
      </c>
    </row>
    <row r="39" spans="1:6" x14ac:dyDescent="0.35">
      <c r="A39" s="2" t="s">
        <v>110</v>
      </c>
      <c r="B39" s="17">
        <f>B30+B25+B26</f>
        <v>80.619999999999976</v>
      </c>
      <c r="C39" s="17">
        <f>C30+C25+C26</f>
        <v>391.23249999999996</v>
      </c>
      <c r="D39" s="17">
        <f>D30+D25+D26</f>
        <v>715.85250000000019</v>
      </c>
      <c r="E39" s="17">
        <f>E30+E25+E26</f>
        <v>918.31999999999971</v>
      </c>
      <c r="F39" s="17">
        <f>F30+F25+F26</f>
        <v>1059.7</v>
      </c>
    </row>
    <row r="40" spans="1:6" x14ac:dyDescent="0.35">
      <c r="A40" s="2" t="s">
        <v>111</v>
      </c>
      <c r="B40" s="17">
        <f>B26+B38</f>
        <v>115.05</v>
      </c>
      <c r="C40" s="17">
        <f>C26+C38</f>
        <v>107.9</v>
      </c>
      <c r="D40" s="17">
        <f>D26+D38</f>
        <v>100.75</v>
      </c>
      <c r="E40" s="17">
        <f>E26+E38</f>
        <v>93.6</v>
      </c>
      <c r="F40" s="17">
        <f>F26+F38</f>
        <v>86.45</v>
      </c>
    </row>
    <row r="41" spans="1:6" x14ac:dyDescent="0.35">
      <c r="A41" s="7" t="s">
        <v>112</v>
      </c>
      <c r="B41" s="27">
        <f>IF(B40=0,0,B39/B40)</f>
        <v>0.70073880921338527</v>
      </c>
      <c r="C41" s="27">
        <f>IF(C40=0,0,C39/C40)</f>
        <v>3.6258804448563478</v>
      </c>
      <c r="D41" s="27">
        <f>IF(D40=0,0,D39/D40)</f>
        <v>7.1052357320099278</v>
      </c>
      <c r="E41" s="27">
        <f>IF(E40=0,0,E39/E40)</f>
        <v>9.8111111111111082</v>
      </c>
      <c r="F41" s="27">
        <f>IF(F40=0,0,F39/F40)</f>
        <v>12.257952573742047</v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showGridLines="0" workbookViewId="0"/>
  </sheetViews>
  <sheetFormatPr defaultRowHeight="14.5" x14ac:dyDescent="0.35"/>
  <cols>
    <col min="1" max="1" width="42" customWidth="1"/>
    <col min="2" max="2" width="16" customWidth="1"/>
  </cols>
  <sheetData>
    <row r="1" spans="1:2" ht="18" x14ac:dyDescent="0.4">
      <c r="A1" s="32" t="s">
        <v>113</v>
      </c>
      <c r="B1" s="33"/>
    </row>
    <row r="3" spans="1:2" x14ac:dyDescent="0.35">
      <c r="A3" s="2" t="s">
        <v>114</v>
      </c>
      <c r="B3" s="16">
        <f>CAPEX!B27</f>
        <v>970</v>
      </c>
    </row>
    <row r="4" spans="1:2" x14ac:dyDescent="0.35">
      <c r="A4" s="2" t="s">
        <v>115</v>
      </c>
      <c r="B4" s="16">
        <f>CAPEX!B30</f>
        <v>455</v>
      </c>
    </row>
    <row r="5" spans="1:2" x14ac:dyDescent="0.35">
      <c r="A5" s="2" t="s">
        <v>116</v>
      </c>
      <c r="B5" s="17">
        <f>CAPEX!B31+CAPEX!B16</f>
        <v>365</v>
      </c>
    </row>
    <row r="6" spans="1:2" x14ac:dyDescent="0.35">
      <c r="A6" s="2" t="s">
        <v>117</v>
      </c>
      <c r="B6" s="16">
        <f>'P&amp;L Projection'!F11</f>
        <v>4870.5</v>
      </c>
    </row>
    <row r="7" spans="1:2" x14ac:dyDescent="0.35">
      <c r="A7" s="2" t="s">
        <v>118</v>
      </c>
      <c r="B7" s="16">
        <f>'P&amp;L Projection'!F33</f>
        <v>1375.45</v>
      </c>
    </row>
    <row r="8" spans="1:2" x14ac:dyDescent="0.35">
      <c r="A8" s="2" t="s">
        <v>119</v>
      </c>
      <c r="B8" s="28">
        <f>'P&amp;L Projection'!F30</f>
        <v>947.25</v>
      </c>
    </row>
    <row r="9" spans="1:2" x14ac:dyDescent="0.35">
      <c r="A9" s="2" t="s">
        <v>120</v>
      </c>
      <c r="B9" s="8">
        <f>IF('P&amp;L Projection'!F11=0,0,'P&amp;L Projection'!F33/'P&amp;L Projection'!F11)</f>
        <v>0.28240427060876705</v>
      </c>
    </row>
    <row r="10" spans="1:2" x14ac:dyDescent="0.35">
      <c r="A10" s="2" t="s">
        <v>121</v>
      </c>
      <c r="B10" s="17">
        <f>AVERAGE('P&amp;L Projection'!B30:F30)</f>
        <v>510.59499999999997</v>
      </c>
    </row>
    <row r="11" spans="1:2" x14ac:dyDescent="0.35">
      <c r="A11" s="2" t="s">
        <v>122</v>
      </c>
      <c r="B11" s="8">
        <f>AVERAGE('P&amp;L Projection'!B30:F30)/CAPEX!B27</f>
        <v>0.52638659793814435</v>
      </c>
    </row>
    <row r="12" spans="1:2" x14ac:dyDescent="0.35">
      <c r="A12" s="2" t="s">
        <v>123</v>
      </c>
      <c r="B12" s="29">
        <f>IFERROR(COUNTIF('P&amp;L Projection'!$B$35:$F$35,"&lt;"&amp;CAPEX!B27)+(CAPEX!B27-IF(COUNTIF('P&amp;L Projection'!$B$35:$F$35,"&lt;"&amp;CAPEX!B27)=0,0,INDEX('P&amp;L Projection'!$B$35:$F$35,1,COUNTIF('P&amp;L Projection'!$B$35:$F$35,"&lt;"&amp;CAPEX!B27))))/INDEX('P&amp;L Projection'!$B$34:$F$34,1,COUNTIF('P&amp;L Projection'!$B$35:$F$35,"&lt;"&amp;CAPEX!B27)+1),"&gt;5")</f>
        <v>2.8691300208424462</v>
      </c>
    </row>
    <row r="13" spans="1:2" x14ac:dyDescent="0.35">
      <c r="A13" s="2" t="s">
        <v>124</v>
      </c>
      <c r="B13" s="30">
        <f>AVERAGE('P&amp;L Projection'!B41:F41)</f>
        <v>6.7001837341865622</v>
      </c>
    </row>
    <row r="14" spans="1:2" x14ac:dyDescent="0.35">
      <c r="A14" s="2" t="s">
        <v>125</v>
      </c>
      <c r="B14" s="31">
        <f>MIN('P&amp;L Projection'!B41:F41)</f>
        <v>0.70073880921338527</v>
      </c>
    </row>
    <row r="16" spans="1:2" x14ac:dyDescent="0.35">
      <c r="A16" s="10" t="s">
        <v>126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CAPEX</vt:lpstr>
      <vt:lpstr>Unit Economics</vt:lpstr>
      <vt:lpstr>P&amp;L Projection</vt:lpstr>
      <vt:lpstr>Returns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Ayush Srivastava</cp:lastModifiedBy>
  <dcterms:created xsi:type="dcterms:W3CDTF">2026-05-22T20:41:47Z</dcterms:created>
  <dcterms:modified xsi:type="dcterms:W3CDTF">2026-05-22T20:41:59Z</dcterms:modified>
</cp:coreProperties>
</file>